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385" activeTab="0"/>
  </bookViews>
  <sheets>
    <sheet name="Loop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<sst xmlns="http://schemas.openxmlformats.org/spreadsheetml/2006/main" count="28" uniqueCount="28">
  <si>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Copper conductance</t>
  </si>
  <si>
    <t>Permeability of free space</t>
  </si>
  <si>
    <t>RG58C/U k1</t>
  </si>
  <si>
    <t>RG58C/U k2</t>
  </si>
  <si>
    <t>RG58C/U line length (m)</t>
  </si>
  <si>
    <t>Loop side (m)</t>
  </si>
  <si>
    <t>Loop wire diameter (m)</t>
  </si>
  <si>
    <t>Loop area (m^2)</t>
  </si>
  <si>
    <t>Frequency step</t>
  </si>
  <si>
    <t>Frequency (MHz)</t>
  </si>
  <si>
    <t>Radiation resistance</t>
  </si>
  <si>
    <t>Loss resistance</t>
  </si>
  <si>
    <t>Inductance of loop</t>
  </si>
  <si>
    <t>Loop reactance</t>
  </si>
  <si>
    <t>Loop R</t>
  </si>
  <si>
    <t>Loop X</t>
  </si>
  <si>
    <t>Receiver R</t>
  </si>
  <si>
    <t>Receiver X</t>
  </si>
  <si>
    <t>Gain (dBi)</t>
  </si>
  <si>
    <t>Isotropic 50 ohms Antenna Factor (dB)</t>
  </si>
  <si>
    <t>Single turn square loop antenna calibration calculations</t>
  </si>
  <si>
    <t>fmax (MHz</t>
  </si>
  <si>
    <t>Voc/Vl (dB)</t>
  </si>
  <si>
    <t>Balun loss (dB)</t>
  </si>
  <si>
    <t>E/Voc (dB/m)</t>
  </si>
  <si>
    <t>Antenna Factor (dB/m)</t>
  </si>
  <si>
    <t>Transmission line loss (dB)</t>
  </si>
  <si>
    <t>Copyright: Owen Duffy 2005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</si>
</sst>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dd/mm/yyyy"/>
    <numFmt numFmtId="168" formatCode="0.0000000"/>
    <numFmt numFmtId="169" formatCode="0.000000"/>
    <numFmt numFmtId="170" formatCode="0.00000"/>
    <numFmt numFmtId="171" formatCode="0.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E+00"/>
    <numFmt numFmtId="176" formatCode="0.000000000"/>
    <numFmt numFmtId="177" formatCode="0.0E+00"/>
    <numFmt numFmtId="178" formatCode="0.000E+00"/>
    <numFmt numFmtId="179" formatCode="0.0000E+00"/>
  </numFmts>
  <fonts count="8">
    <font>
      <sz val="10"/>
      <name val="Arial"/>
      <family val="0"/>
    </font>
    <font>
      <b/>
      <sz val="24"/>
      <name val="Arial"/>
      <family val="2"/>
    </font>
    <font>
      <sz val="10"/>
      <name val="Arial Unicode MS"/>
      <family val="0"/>
    </font>
    <font>
      <b/>
      <sz val="18.25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5.25"/>
      <name val="Arial"/>
      <family val="0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Single turn small square loop antenna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35"/>
          <c:w val="0.8875"/>
          <c:h val="0.739"/>
        </c:manualLayout>
      </c:layout>
      <c:scatterChart>
        <c:scatterStyle val="smooth"/>
        <c:varyColors val="0"/>
        <c:ser>
          <c:idx val="1"/>
          <c:order val="0"/>
          <c:tx>
            <c:strRef>
              <c:f>Loop!$A$30</c:f>
              <c:strCache>
                <c:ptCount val="1"/>
                <c:pt idx="0">
                  <c:v>Antenna Factor (dB/m)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Loop!$C$19:$AF$19</c:f>
              <c:numCache/>
            </c:numRef>
          </c:xVal>
          <c:yVal>
            <c:numRef>
              <c:f>Loop!$C$30:$AF$30</c:f>
              <c:numCache/>
            </c:numRef>
          </c:yVal>
          <c:smooth val="1"/>
        </c:ser>
        <c:axId val="257069"/>
        <c:axId val="2313622"/>
      </c:scatterChart>
      <c:scatterChart>
        <c:scatterStyle val="smooth"/>
        <c:varyColors val="0"/>
        <c:axId val="20822599"/>
        <c:axId val="53185664"/>
      </c:scatterChart>
      <c:valAx>
        <c:axId val="25706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622"/>
        <c:crossesAt val="-80"/>
        <c:crossBetween val="midCat"/>
        <c:dispUnits/>
      </c:valAx>
      <c:valAx>
        <c:axId val="2313622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Antenna Factor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69"/>
        <c:crossesAt val="0.1"/>
        <c:crossBetween val="midCat"/>
        <c:dispUnits/>
      </c:valAx>
      <c:valAx>
        <c:axId val="20822599"/>
        <c:scaling>
          <c:orientation val="minMax"/>
        </c:scaling>
        <c:axPos val="b"/>
        <c:delete val="1"/>
        <c:majorTickMark val="in"/>
        <c:minorTickMark val="none"/>
        <c:tickLblPos val="nextTo"/>
        <c:crossAx val="53185664"/>
        <c:crosses val="max"/>
        <c:crossBetween val="midCat"/>
        <c:dispUnits/>
      </c:valAx>
      <c:valAx>
        <c:axId val="53185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2259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85725</xdr:rowOff>
    </xdr:from>
    <xdr:to>
      <xdr:col>9</xdr:col>
      <xdr:colOff>66675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505200" y="628650"/>
        <a:ext cx="70675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7"/>
  <sheetViews>
    <sheetView tabSelected="1" workbookViewId="0" topLeftCell="A4">
      <selection activeCell="B19" sqref="B19"/>
    </sheetView>
  </sheetViews>
  <sheetFormatPr defaultColWidth="9.140625" defaultRowHeight="12.75"/>
  <cols>
    <col min="1" max="1" width="34.140625" style="0" customWidth="1"/>
    <col min="2" max="30" width="15.421875" style="0" customWidth="1"/>
    <col min="31" max="32" width="15.57421875" style="0" customWidth="1"/>
  </cols>
  <sheetData>
    <row r="2" spans="1:2" ht="30">
      <c r="A2" s="1" t="s">
        <v>20</v>
      </c>
      <c r="B2" s="2"/>
    </row>
    <row r="3" ht="12.75">
      <c r="B3" s="2"/>
    </row>
    <row r="4" spans="1:2" ht="12.75">
      <c r="A4" t="s">
        <v>0</v>
      </c>
      <c r="B4" s="3">
        <v>57000000</v>
      </c>
    </row>
    <row r="5" spans="1:2" ht="12.75">
      <c r="A5" t="s">
        <v>1</v>
      </c>
      <c r="B5">
        <f>4*PI()*0.0000001</f>
        <v>1.2566370614359173E-06</v>
      </c>
    </row>
    <row r="7" spans="1:2" ht="12.75">
      <c r="A7" t="s">
        <v>2</v>
      </c>
      <c r="B7" s="4">
        <v>1.30257151126836E-05</v>
      </c>
    </row>
    <row r="8" spans="1:2" ht="12.75">
      <c r="A8" t="s">
        <v>3</v>
      </c>
      <c r="B8" s="4">
        <v>2.95286139867866E-10</v>
      </c>
    </row>
    <row r="9" spans="1:4" ht="12.75">
      <c r="A9" t="s">
        <v>23</v>
      </c>
      <c r="B9" s="10">
        <v>0.2</v>
      </c>
      <c r="D9" s="4"/>
    </row>
    <row r="10" spans="1:4" ht="12.75">
      <c r="A10" t="s">
        <v>4</v>
      </c>
      <c r="B10" s="10">
        <v>8</v>
      </c>
      <c r="D10" s="4"/>
    </row>
    <row r="11" spans="1:2" ht="12.75">
      <c r="A11" t="s">
        <v>5</v>
      </c>
      <c r="B11" s="11">
        <v>0.6</v>
      </c>
    </row>
    <row r="12" spans="1:2" ht="12.75">
      <c r="A12" t="s">
        <v>6</v>
      </c>
      <c r="B12" s="10">
        <v>0.0014</v>
      </c>
    </row>
    <row r="14" spans="1:2" ht="12.75">
      <c r="A14" t="s">
        <v>7</v>
      </c>
      <c r="B14">
        <f>B11^2</f>
        <v>0.36</v>
      </c>
    </row>
    <row r="15" spans="1:2" ht="12.75">
      <c r="A15" t="s">
        <v>12</v>
      </c>
      <c r="B15">
        <f>2*$B$5*$B$11/PI()*(LN($B$11/$B$12*2)-0.774)</f>
        <v>2.870210207594342E-06</v>
      </c>
    </row>
    <row r="16" spans="1:2" ht="12.75">
      <c r="A16" t="s">
        <v>8</v>
      </c>
      <c r="B16" s="5">
        <f>B17^(1/20)</f>
        <v>1.144997564643589</v>
      </c>
    </row>
    <row r="17" spans="1:2" ht="12.75">
      <c r="A17" t="s">
        <v>21</v>
      </c>
      <c r="B17" s="9">
        <f>300000000/B11*0.03/1000000</f>
        <v>15</v>
      </c>
    </row>
    <row r="19" spans="1:55" ht="12.75">
      <c r="A19" t="s">
        <v>9</v>
      </c>
      <c r="B19" s="11">
        <v>7.1</v>
      </c>
      <c r="C19" s="6">
        <f aca="true" t="shared" si="0" ref="C19:AD19">D19/$B$16</f>
        <v>0.29563709995417836</v>
      </c>
      <c r="D19" s="6">
        <f t="shared" si="0"/>
        <v>0.3385037594658275</v>
      </c>
      <c r="E19" s="6">
        <f t="shared" si="0"/>
        <v>0.3875859802110717</v>
      </c>
      <c r="F19" s="6">
        <f t="shared" si="0"/>
        <v>0.44378500343167543</v>
      </c>
      <c r="G19" s="6">
        <f t="shared" si="0"/>
        <v>0.5081327481546152</v>
      </c>
      <c r="H19" s="6">
        <f t="shared" si="0"/>
        <v>0.5818107591526885</v>
      </c>
      <c r="I19" s="6">
        <f t="shared" si="0"/>
        <v>0.6661719023132661</v>
      </c>
      <c r="J19" s="6">
        <f t="shared" si="0"/>
        <v>0.7627652057826765</v>
      </c>
      <c r="K19" s="6">
        <f t="shared" si="0"/>
        <v>0.8733643030160306</v>
      </c>
      <c r="L19" s="6">
        <f t="shared" si="0"/>
        <v>1.0000000000000007</v>
      </c>
      <c r="M19" s="6">
        <f t="shared" si="0"/>
        <v>1.1449975646435897</v>
      </c>
      <c r="N19" s="6">
        <f t="shared" si="0"/>
        <v>1.3110194230397505</v>
      </c>
      <c r="O19" s="6">
        <f t="shared" si="0"/>
        <v>1.5011140465809576</v>
      </c>
      <c r="P19" s="6">
        <f t="shared" si="0"/>
        <v>1.7187719275874795</v>
      </c>
      <c r="Q19" s="6">
        <f t="shared" si="0"/>
        <v>1.9679896712654312</v>
      </c>
      <c r="R19" s="6">
        <f t="shared" si="0"/>
        <v>2.253343380842656</v>
      </c>
      <c r="S19" s="6">
        <f t="shared" si="0"/>
        <v>2.580072683370593</v>
      </c>
      <c r="T19" s="6">
        <f t="shared" si="0"/>
        <v>2.9541769390627786</v>
      </c>
      <c r="U19" s="6">
        <f t="shared" si="0"/>
        <v>3.3825254007531336</v>
      </c>
      <c r="V19" s="6">
        <f t="shared" si="0"/>
        <v>3.872983346207418</v>
      </c>
      <c r="W19" s="6">
        <f t="shared" si="0"/>
        <v>4.434556499312672</v>
      </c>
      <c r="X19" s="6">
        <f t="shared" si="0"/>
        <v>5.077556391987409</v>
      </c>
      <c r="Y19" s="6">
        <f t="shared" si="0"/>
        <v>5.813789703166072</v>
      </c>
      <c r="Z19" s="6">
        <f t="shared" si="0"/>
        <v>6.656775051475127</v>
      </c>
      <c r="AA19" s="6">
        <f t="shared" si="0"/>
        <v>7.621991222319222</v>
      </c>
      <c r="AB19" s="6">
        <f t="shared" si="0"/>
        <v>8.727161387290321</v>
      </c>
      <c r="AC19" s="6">
        <f t="shared" si="0"/>
        <v>9.992578534698984</v>
      </c>
      <c r="AD19" s="6">
        <f t="shared" si="0"/>
        <v>11.44147808674014</v>
      </c>
      <c r="AE19" s="6">
        <f>AF19/$B$16</f>
        <v>13.10046454524045</v>
      </c>
      <c r="AF19" s="6">
        <f>$B$17</f>
        <v>15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2.75">
      <c r="A20" t="s">
        <v>26</v>
      </c>
      <c r="B20" s="6">
        <f>($B$7*(B19*1000000)^0.5+$B$8*B19*1000000)*$B$10</f>
        <v>0.2944369950273838</v>
      </c>
      <c r="C20" s="6">
        <f aca="true" t="shared" si="1" ref="C20:AF20">($B$7*(C19*1000000)^0.5+$B$8*C19*1000000)*$B$10</f>
        <v>0.05735765739803828</v>
      </c>
      <c r="D20" s="6">
        <f t="shared" si="1"/>
        <v>0.061427653333444125</v>
      </c>
      <c r="E20" s="6">
        <f t="shared" si="1"/>
        <v>0.06579032443041521</v>
      </c>
      <c r="F20" s="6">
        <f t="shared" si="1"/>
        <v>0.07046727180961342</v>
      </c>
      <c r="G20" s="6">
        <f t="shared" si="1"/>
        <v>0.07548176922712456</v>
      </c>
      <c r="H20" s="6">
        <f t="shared" si="1"/>
        <v>0.0808589033727713</v>
      </c>
      <c r="I20" s="6">
        <f t="shared" si="1"/>
        <v>0.08662572735059684</v>
      </c>
      <c r="J20" s="6">
        <f t="shared" si="1"/>
        <v>0.09281142875132296</v>
      </c>
      <c r="K20" s="6">
        <f t="shared" si="1"/>
        <v>0.09944751389587217</v>
      </c>
      <c r="L20" s="6">
        <f t="shared" si="1"/>
        <v>0.10656801002041177</v>
      </c>
      <c r="M20" s="6">
        <f t="shared" si="1"/>
        <v>0.11420968738986391</v>
      </c>
      <c r="N20" s="6">
        <f t="shared" si="1"/>
        <v>0.122412303571881</v>
      </c>
      <c r="O20" s="6">
        <f t="shared" si="1"/>
        <v>0.13121887238086072</v>
      </c>
      <c r="P20" s="6">
        <f t="shared" si="1"/>
        <v>0.14067596031616936</v>
      </c>
      <c r="Q20" s="6">
        <f t="shared" si="1"/>
        <v>0.15083401367550137</v>
      </c>
      <c r="R20" s="6">
        <f t="shared" si="1"/>
        <v>0.16174771992909634</v>
      </c>
      <c r="S20" s="6">
        <f t="shared" si="1"/>
        <v>0.17347640740006845</v>
      </c>
      <c r="T20" s="6">
        <f t="shared" si="1"/>
        <v>0.18608448781804052</v>
      </c>
      <c r="U20" s="6">
        <f t="shared" si="1"/>
        <v>0.1996419469063645</v>
      </c>
      <c r="V20" s="6">
        <f t="shared" si="1"/>
        <v>0.21422488883745175</v>
      </c>
      <c r="W20" s="6">
        <f t="shared" si="1"/>
        <v>0.22991614115756306</v>
      </c>
      <c r="X20" s="6">
        <f t="shared" si="1"/>
        <v>0.2468059276548729</v>
      </c>
      <c r="Y20" s="6">
        <f t="shared" si="1"/>
        <v>0.264992617637662</v>
      </c>
      <c r="Z20" s="6">
        <f t="shared" si="1"/>
        <v>0.2845835612201701</v>
      </c>
      <c r="AA20" s="6">
        <f t="shared" si="1"/>
        <v>0.3056960215014656</v>
      </c>
      <c r="AB20" s="6">
        <f t="shared" si="1"/>
        <v>0.328458215989986</v>
      </c>
      <c r="AC20" s="6">
        <f t="shared" si="1"/>
        <v>0.3530104812986596</v>
      </c>
      <c r="AD20" s="6">
        <f t="shared" si="1"/>
        <v>0.37950657704194</v>
      </c>
      <c r="AE20" s="6">
        <f t="shared" si="1"/>
        <v>0.4081151470400154</v>
      </c>
      <c r="AF20" s="6">
        <f t="shared" si="1"/>
        <v>0.4390213584150708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32" ht="12.75">
      <c r="A21" t="s">
        <v>10</v>
      </c>
      <c r="B21" s="8">
        <f>120*PI()*8/3*PI()^3*($B$14/(300/B19)^2)^2</f>
        <v>0.0012673683189022866</v>
      </c>
      <c r="C21" s="8">
        <f aca="true" t="shared" si="2" ref="C21:AF21">120*PI()*8/3*PI()^3*($B$14/(300/C19)^2)^2</f>
        <v>3.809826387309391E-09</v>
      </c>
      <c r="D21" s="8">
        <f t="shared" si="2"/>
        <v>6.548222643489399E-09</v>
      </c>
      <c r="E21" s="8">
        <f t="shared" si="2"/>
        <v>1.1254901255222244E-08</v>
      </c>
      <c r="F21" s="8">
        <f t="shared" si="2"/>
        <v>1.934460832524507E-08</v>
      </c>
      <c r="G21" s="8">
        <f t="shared" si="2"/>
        <v>3.3248969739606275E-08</v>
      </c>
      <c r="H21" s="8">
        <f t="shared" si="2"/>
        <v>5.714739580964083E-08</v>
      </c>
      <c r="I21" s="8">
        <f t="shared" si="2"/>
        <v>9.822333965234092E-08</v>
      </c>
      <c r="J21" s="8">
        <f t="shared" si="2"/>
        <v>1.688235188283336E-07</v>
      </c>
      <c r="K21" s="8">
        <f t="shared" si="2"/>
        <v>2.9016912487867594E-07</v>
      </c>
      <c r="L21" s="8">
        <f t="shared" si="2"/>
        <v>4.987345460940938E-07</v>
      </c>
      <c r="M21" s="8">
        <f t="shared" si="2"/>
        <v>8.572109371446112E-07</v>
      </c>
      <c r="N21" s="8">
        <f t="shared" si="2"/>
        <v>1.4733500947851118E-06</v>
      </c>
      <c r="O21" s="8">
        <f t="shared" si="2"/>
        <v>2.532352782425001E-06</v>
      </c>
      <c r="P21" s="8">
        <f t="shared" si="2"/>
        <v>4.352536873180133E-06</v>
      </c>
      <c r="Q21" s="8">
        <f t="shared" si="2"/>
        <v>7.481018191411395E-06</v>
      </c>
      <c r="R21" s="8">
        <f t="shared" si="2"/>
        <v>1.2858164057169162E-05</v>
      </c>
      <c r="S21" s="8">
        <f t="shared" si="2"/>
        <v>2.210025142177669E-05</v>
      </c>
      <c r="T21" s="8">
        <f t="shared" si="2"/>
        <v>3.798529173637501E-05</v>
      </c>
      <c r="U21" s="8">
        <f t="shared" si="2"/>
        <v>6.528805309770199E-05</v>
      </c>
      <c r="V21" s="8">
        <f t="shared" si="2"/>
        <v>0.00011221527287117086</v>
      </c>
      <c r="W21" s="8">
        <f t="shared" si="2"/>
        <v>0.00019287246085753735</v>
      </c>
      <c r="X21" s="8">
        <f t="shared" si="2"/>
        <v>0.00033150377132665</v>
      </c>
      <c r="Y21" s="8">
        <f t="shared" si="2"/>
        <v>0.0005697793760456247</v>
      </c>
      <c r="Z21" s="8">
        <f t="shared" si="2"/>
        <v>0.0009793207964655295</v>
      </c>
      <c r="AA21" s="8">
        <f t="shared" si="2"/>
        <v>0.0016832290930675626</v>
      </c>
      <c r="AB21" s="8">
        <f t="shared" si="2"/>
        <v>0.002893086912863057</v>
      </c>
      <c r="AC21" s="8">
        <f t="shared" si="2"/>
        <v>0.004972556569899745</v>
      </c>
      <c r="AD21" s="8">
        <f t="shared" si="2"/>
        <v>0.008546690640684368</v>
      </c>
      <c r="AE21" s="8">
        <f t="shared" si="2"/>
        <v>0.014689811946982925</v>
      </c>
      <c r="AF21" s="8">
        <f t="shared" si="2"/>
        <v>0.025248436396013426</v>
      </c>
    </row>
    <row r="22" spans="1:32" ht="12.75">
      <c r="A22" t="s">
        <v>11</v>
      </c>
      <c r="B22" s="8">
        <f>4*$B$11/$B$12*(B19*1000000*$B$5/PI()/$B$4)^0.5</f>
        <v>0.38265284640165825</v>
      </c>
      <c r="C22" s="8">
        <f aca="true" t="shared" si="3" ref="C22:AF22">4*$B$11/$B$12*(C19*1000000*$B$5/PI()/$B$4)^0.5</f>
        <v>0.078082775208315</v>
      </c>
      <c r="D22" s="8">
        <f t="shared" si="3"/>
        <v>0.08355212926534693</v>
      </c>
      <c r="E22" s="8">
        <f t="shared" si="3"/>
        <v>0.08940458745413346</v>
      </c>
      <c r="F22" s="8">
        <f t="shared" si="3"/>
        <v>0.09566698452960858</v>
      </c>
      <c r="G22" s="8">
        <f t="shared" si="3"/>
        <v>0.10236803490294759</v>
      </c>
      <c r="H22" s="8">
        <f t="shared" si="3"/>
        <v>0.10953846430319772</v>
      </c>
      <c r="I22" s="8">
        <f t="shared" si="3"/>
        <v>0.11721115066122491</v>
      </c>
      <c r="J22" s="8">
        <f t="shared" si="3"/>
        <v>0.12542127486196009</v>
      </c>
      <c r="K22" s="8">
        <f t="shared" si="3"/>
        <v>0.1342064820561753</v>
      </c>
      <c r="L22" s="8">
        <f t="shared" si="3"/>
        <v>0.14360705427143852</v>
      </c>
      <c r="M22" s="8">
        <f t="shared" si="3"/>
        <v>0.15366609511370427</v>
      </c>
      <c r="N22" s="8">
        <f t="shared" si="3"/>
        <v>0.1644297274064368</v>
      </c>
      <c r="O22" s="8">
        <f t="shared" si="3"/>
        <v>0.17594730467348152</v>
      </c>
      <c r="P22" s="8">
        <f t="shared" si="3"/>
        <v>0.18827163743537934</v>
      </c>
      <c r="Q22" s="8">
        <f t="shared" si="3"/>
        <v>0.20145923535673987</v>
      </c>
      <c r="R22" s="8">
        <f t="shared" si="3"/>
        <v>0.21557056635497016</v>
      </c>
      <c r="S22" s="8">
        <f t="shared" si="3"/>
        <v>0.23067033385842686</v>
      </c>
      <c r="T22" s="8">
        <f t="shared" si="3"/>
        <v>0.24682777348527998</v>
      </c>
      <c r="U22" s="8">
        <f t="shared" si="3"/>
        <v>0.2641169705034223</v>
      </c>
      <c r="V22" s="8">
        <f t="shared" si="3"/>
        <v>0.28261719952704506</v>
      </c>
      <c r="W22" s="8">
        <f t="shared" si="3"/>
        <v>0.3024132880074612</v>
      </c>
      <c r="X22" s="8">
        <f t="shared" si="3"/>
        <v>0.32359600518485787</v>
      </c>
      <c r="Y22" s="8">
        <f t="shared" si="3"/>
        <v>0.3462624782844034</v>
      </c>
      <c r="Z22" s="8">
        <f t="shared" si="3"/>
        <v>0.37051663786505645</v>
      </c>
      <c r="AA22" s="8">
        <f t="shared" si="3"/>
        <v>0.3964696943630955</v>
      </c>
      <c r="AB22" s="8">
        <f t="shared" si="3"/>
        <v>0.4242406480154202</v>
      </c>
      <c r="AC22" s="8">
        <f t="shared" si="3"/>
        <v>0.4539568345007324</v>
      </c>
      <c r="AD22" s="8">
        <f t="shared" si="3"/>
        <v>0.48575450880047427</v>
      </c>
      <c r="AE22" s="8">
        <f t="shared" si="3"/>
        <v>0.5197794699566514</v>
      </c>
      <c r="AF22" s="8">
        <f t="shared" si="3"/>
        <v>0.5561877295911859</v>
      </c>
    </row>
    <row r="23" spans="1:32" ht="12.75">
      <c r="A23" t="s">
        <v>13</v>
      </c>
      <c r="B23" s="2">
        <f>2*PI()*B19*1000000*$B$15</f>
        <v>128.04184449460283</v>
      </c>
      <c r="C23" s="2">
        <f aca="true" t="shared" si="4" ref="C23:AF23">2*PI()*C19*1000000*$B$15</f>
        <v>5.331537968896939</v>
      </c>
      <c r="D23" s="2">
        <f t="shared" si="4"/>
        <v>6.104597990191822</v>
      </c>
      <c r="E23" s="2">
        <f t="shared" si="4"/>
        <v>6.989749831897784</v>
      </c>
      <c r="F23" s="2">
        <f t="shared" si="4"/>
        <v>8.003246534990899</v>
      </c>
      <c r="G23" s="2">
        <f t="shared" si="4"/>
        <v>9.163697791806822</v>
      </c>
      <c r="H23" s="2">
        <f t="shared" si="4"/>
        <v>10.492411654748645</v>
      </c>
      <c r="I23" s="2">
        <f t="shared" si="4"/>
        <v>12.013785791925208</v>
      </c>
      <c r="J23" s="2">
        <f t="shared" si="4"/>
        <v>13.755755473904113</v>
      </c>
      <c r="K23" s="2">
        <f t="shared" si="4"/>
        <v>15.750306517452929</v>
      </c>
      <c r="L23" s="2">
        <f t="shared" si="4"/>
        <v>18.034062604873654</v>
      </c>
      <c r="M23" s="2">
        <f t="shared" si="4"/>
        <v>20.648957763210348</v>
      </c>
      <c r="N23" s="2">
        <f t="shared" si="4"/>
        <v>23.643006351304177</v>
      </c>
      <c r="O23" s="2">
        <f t="shared" si="4"/>
        <v>27.071184693096193</v>
      </c>
      <c r="P23" s="2">
        <f t="shared" si="4"/>
        <v>30.996440545611947</v>
      </c>
      <c r="Q23" s="2">
        <f t="shared" si="4"/>
        <v>35.49084893734548</v>
      </c>
      <c r="R23" s="2">
        <f t="shared" si="4"/>
        <v>40.63693560039409</v>
      </c>
      <c r="S23" s="2">
        <f t="shared" si="4"/>
        <v>46.529192297029596</v>
      </c>
      <c r="T23" s="2">
        <f t="shared" si="4"/>
        <v>53.27581186493212</v>
      </c>
      <c r="U23" s="2">
        <f t="shared" si="4"/>
        <v>61.00067483975731</v>
      </c>
      <c r="V23" s="2">
        <f t="shared" si="4"/>
        <v>69.84562413313758</v>
      </c>
      <c r="W23" s="2">
        <f t="shared" si="4"/>
        <v>79.97306953345401</v>
      </c>
      <c r="X23" s="2">
        <f t="shared" si="4"/>
        <v>91.56896985287726</v>
      </c>
      <c r="Y23" s="2">
        <f t="shared" si="4"/>
        <v>104.84624747846671</v>
      </c>
      <c r="Z23" s="2">
        <f t="shared" si="4"/>
        <v>120.0486980248634</v>
      </c>
      <c r="AA23" s="2">
        <f t="shared" si="4"/>
        <v>137.4554668771022</v>
      </c>
      <c r="AB23" s="2">
        <f t="shared" si="4"/>
        <v>157.38617482122956</v>
      </c>
      <c r="AC23" s="2">
        <f t="shared" si="4"/>
        <v>180.20678687887798</v>
      </c>
      <c r="AD23" s="2">
        <f t="shared" si="4"/>
        <v>206.33633210856158</v>
      </c>
      <c r="AE23" s="2">
        <f t="shared" si="4"/>
        <v>236.25459776179378</v>
      </c>
      <c r="AF23" s="2">
        <f t="shared" si="4"/>
        <v>270.5109390731046</v>
      </c>
    </row>
    <row r="24" spans="1:32" ht="12.75">
      <c r="A24" t="s">
        <v>24</v>
      </c>
      <c r="B24" s="2">
        <f>-20*LOG(2*PI()*B19*1000000*$B$5*(1/(120*PI()))*$B$14)</f>
        <v>25.4276107375037</v>
      </c>
      <c r="C24" s="2">
        <f aca="true" t="shared" si="5" ref="C24:AF24">-20*LOG(2*PI()*C19*1000000*$B$5*(1/(120*PI()))*$B$14)</f>
        <v>53.03759904338633</v>
      </c>
      <c r="D24" s="2">
        <f t="shared" si="5"/>
        <v>51.86150778433064</v>
      </c>
      <c r="E24" s="2">
        <f t="shared" si="5"/>
        <v>50.68541652527497</v>
      </c>
      <c r="F24" s="2">
        <f t="shared" si="5"/>
        <v>49.50932526621928</v>
      </c>
      <c r="G24" s="2">
        <f t="shared" si="5"/>
        <v>48.3332340071636</v>
      </c>
      <c r="H24" s="2">
        <f t="shared" si="5"/>
        <v>47.15714274810792</v>
      </c>
      <c r="I24" s="2">
        <f t="shared" si="5"/>
        <v>45.981051489052234</v>
      </c>
      <c r="J24" s="2">
        <f t="shared" si="5"/>
        <v>44.80496022999656</v>
      </c>
      <c r="K24" s="2">
        <f t="shared" si="5"/>
        <v>43.62886897094087</v>
      </c>
      <c r="L24" s="2">
        <f t="shared" si="5"/>
        <v>42.4527777118852</v>
      </c>
      <c r="M24" s="2">
        <f t="shared" si="5"/>
        <v>41.276686452829516</v>
      </c>
      <c r="N24" s="2">
        <f t="shared" si="5"/>
        <v>40.10059519377384</v>
      </c>
      <c r="O24" s="2">
        <f t="shared" si="5"/>
        <v>38.92450393471815</v>
      </c>
      <c r="P24" s="2">
        <f t="shared" si="5"/>
        <v>37.74841267566248</v>
      </c>
      <c r="Q24" s="2">
        <f t="shared" si="5"/>
        <v>36.57232141660679</v>
      </c>
      <c r="R24" s="2">
        <f t="shared" si="5"/>
        <v>35.39623015755111</v>
      </c>
      <c r="S24" s="2">
        <f t="shared" si="5"/>
        <v>34.220138898495435</v>
      </c>
      <c r="T24" s="2">
        <f t="shared" si="5"/>
        <v>33.04404763943975</v>
      </c>
      <c r="U24" s="2">
        <f t="shared" si="5"/>
        <v>31.867956380384072</v>
      </c>
      <c r="V24" s="2">
        <f t="shared" si="5"/>
        <v>30.691865121328384</v>
      </c>
      <c r="W24" s="2">
        <f t="shared" si="5"/>
        <v>29.515773862272706</v>
      </c>
      <c r="X24" s="2">
        <f t="shared" si="5"/>
        <v>28.339682603217025</v>
      </c>
      <c r="Y24" s="2">
        <f t="shared" si="5"/>
        <v>27.163591344161343</v>
      </c>
      <c r="Z24" s="2">
        <f t="shared" si="5"/>
        <v>25.987500085105665</v>
      </c>
      <c r="AA24" s="2">
        <f t="shared" si="5"/>
        <v>24.811408826049984</v>
      </c>
      <c r="AB24" s="2">
        <f t="shared" si="5"/>
        <v>23.635317566994303</v>
      </c>
      <c r="AC24" s="2">
        <f t="shared" si="5"/>
        <v>22.45922630793862</v>
      </c>
      <c r="AD24" s="2">
        <f t="shared" si="5"/>
        <v>21.283135048882937</v>
      </c>
      <c r="AE24" s="2">
        <f t="shared" si="5"/>
        <v>20.10704378982726</v>
      </c>
      <c r="AF24" s="2">
        <f t="shared" si="5"/>
        <v>18.930952530771577</v>
      </c>
    </row>
    <row r="25" spans="1:32" ht="12.75">
      <c r="A25" t="s">
        <v>14</v>
      </c>
      <c r="B25" s="2">
        <f>B21+B22</f>
        <v>0.38392021472056054</v>
      </c>
      <c r="C25" s="2">
        <f aca="true" t="shared" si="6" ref="C25:AF25">C21+C22</f>
        <v>0.07808277901814138</v>
      </c>
      <c r="D25" s="2">
        <f t="shared" si="6"/>
        <v>0.08355213581356957</v>
      </c>
      <c r="E25" s="2">
        <f t="shared" si="6"/>
        <v>0.08940459870903472</v>
      </c>
      <c r="F25" s="2">
        <f t="shared" si="6"/>
        <v>0.09566700387421691</v>
      </c>
      <c r="G25" s="2">
        <f t="shared" si="6"/>
        <v>0.10236806815191733</v>
      </c>
      <c r="H25" s="2">
        <f t="shared" si="6"/>
        <v>0.10953852145059353</v>
      </c>
      <c r="I25" s="2">
        <f t="shared" si="6"/>
        <v>0.11721124888456456</v>
      </c>
      <c r="J25" s="2">
        <f t="shared" si="6"/>
        <v>0.12542144368547892</v>
      </c>
      <c r="K25" s="2">
        <f t="shared" si="6"/>
        <v>0.13420677222530017</v>
      </c>
      <c r="L25" s="2">
        <f t="shared" si="6"/>
        <v>0.14360755300598463</v>
      </c>
      <c r="M25" s="2">
        <f t="shared" si="6"/>
        <v>0.15366695232464142</v>
      </c>
      <c r="N25" s="2">
        <f t="shared" si="6"/>
        <v>0.1644312007565316</v>
      </c>
      <c r="O25" s="2">
        <f t="shared" si="6"/>
        <v>0.17594983702626393</v>
      </c>
      <c r="P25" s="2">
        <f t="shared" si="6"/>
        <v>0.1882759899722525</v>
      </c>
      <c r="Q25" s="2">
        <f t="shared" si="6"/>
        <v>0.2014667163749313</v>
      </c>
      <c r="R25" s="2">
        <f t="shared" si="6"/>
        <v>0.21558342451902732</v>
      </c>
      <c r="S25" s="2">
        <f t="shared" si="6"/>
        <v>0.23069243410984863</v>
      </c>
      <c r="T25" s="2">
        <f t="shared" si="6"/>
        <v>0.24686575877701636</v>
      </c>
      <c r="U25" s="2">
        <f t="shared" si="6"/>
        <v>0.26418225855652</v>
      </c>
      <c r="V25" s="2">
        <f t="shared" si="6"/>
        <v>0.28272941479991626</v>
      </c>
      <c r="W25" s="2">
        <f t="shared" si="6"/>
        <v>0.30260616046831873</v>
      </c>
      <c r="X25" s="2">
        <f t="shared" si="6"/>
        <v>0.3239275089561845</v>
      </c>
      <c r="Y25" s="2">
        <f t="shared" si="6"/>
        <v>0.346832257660449</v>
      </c>
      <c r="Z25" s="2">
        <f t="shared" si="6"/>
        <v>0.37149595866152196</v>
      </c>
      <c r="AA25" s="2">
        <f t="shared" si="6"/>
        <v>0.39815292345616304</v>
      </c>
      <c r="AB25" s="2">
        <f t="shared" si="6"/>
        <v>0.42713373492828327</v>
      </c>
      <c r="AC25" s="2">
        <f t="shared" si="6"/>
        <v>0.45892939107063213</v>
      </c>
      <c r="AD25" s="2">
        <f t="shared" si="6"/>
        <v>0.49430119944115863</v>
      </c>
      <c r="AE25" s="2">
        <f t="shared" si="6"/>
        <v>0.5344692819036343</v>
      </c>
      <c r="AF25" s="2">
        <f t="shared" si="6"/>
        <v>0.5814361659871993</v>
      </c>
    </row>
    <row r="26" spans="1:32" ht="12.75">
      <c r="A26" t="s">
        <v>15</v>
      </c>
      <c r="B26" s="2">
        <f>B23</f>
        <v>128.04184449460283</v>
      </c>
      <c r="C26" s="2">
        <f aca="true" t="shared" si="7" ref="C26:AF26">C23</f>
        <v>5.331537968896939</v>
      </c>
      <c r="D26" s="2">
        <f t="shared" si="7"/>
        <v>6.104597990191822</v>
      </c>
      <c r="E26" s="2">
        <f t="shared" si="7"/>
        <v>6.989749831897784</v>
      </c>
      <c r="F26" s="2">
        <f t="shared" si="7"/>
        <v>8.003246534990899</v>
      </c>
      <c r="G26" s="2">
        <f t="shared" si="7"/>
        <v>9.163697791806822</v>
      </c>
      <c r="H26" s="2">
        <f t="shared" si="7"/>
        <v>10.492411654748645</v>
      </c>
      <c r="I26" s="2">
        <f t="shared" si="7"/>
        <v>12.013785791925208</v>
      </c>
      <c r="J26" s="2">
        <f t="shared" si="7"/>
        <v>13.755755473904113</v>
      </c>
      <c r="K26" s="2">
        <f t="shared" si="7"/>
        <v>15.750306517452929</v>
      </c>
      <c r="L26" s="2">
        <f t="shared" si="7"/>
        <v>18.034062604873654</v>
      </c>
      <c r="M26" s="2">
        <f t="shared" si="7"/>
        <v>20.648957763210348</v>
      </c>
      <c r="N26" s="2">
        <f t="shared" si="7"/>
        <v>23.643006351304177</v>
      </c>
      <c r="O26" s="2">
        <f t="shared" si="7"/>
        <v>27.071184693096193</v>
      </c>
      <c r="P26" s="2">
        <f t="shared" si="7"/>
        <v>30.996440545611947</v>
      </c>
      <c r="Q26" s="2">
        <f t="shared" si="7"/>
        <v>35.49084893734548</v>
      </c>
      <c r="R26" s="2">
        <f t="shared" si="7"/>
        <v>40.63693560039409</v>
      </c>
      <c r="S26" s="2">
        <f t="shared" si="7"/>
        <v>46.529192297029596</v>
      </c>
      <c r="T26" s="2">
        <f t="shared" si="7"/>
        <v>53.27581186493212</v>
      </c>
      <c r="U26" s="2">
        <f t="shared" si="7"/>
        <v>61.00067483975731</v>
      </c>
      <c r="V26" s="2">
        <f t="shared" si="7"/>
        <v>69.84562413313758</v>
      </c>
      <c r="W26" s="2">
        <f t="shared" si="7"/>
        <v>79.97306953345401</v>
      </c>
      <c r="X26" s="2">
        <f t="shared" si="7"/>
        <v>91.56896985287726</v>
      </c>
      <c r="Y26" s="2">
        <f t="shared" si="7"/>
        <v>104.84624747846671</v>
      </c>
      <c r="Z26" s="2">
        <f t="shared" si="7"/>
        <v>120.0486980248634</v>
      </c>
      <c r="AA26" s="2">
        <f t="shared" si="7"/>
        <v>137.4554668771022</v>
      </c>
      <c r="AB26" s="2">
        <f t="shared" si="7"/>
        <v>157.38617482122956</v>
      </c>
      <c r="AC26" s="2">
        <f t="shared" si="7"/>
        <v>180.20678687887798</v>
      </c>
      <c r="AD26" s="2">
        <f t="shared" si="7"/>
        <v>206.33633210856158</v>
      </c>
      <c r="AE26" s="2">
        <f t="shared" si="7"/>
        <v>236.25459776179378</v>
      </c>
      <c r="AF26" s="2">
        <f t="shared" si="7"/>
        <v>270.5109390731046</v>
      </c>
    </row>
    <row r="27" spans="1:32" ht="12.75">
      <c r="A27" t="s">
        <v>16</v>
      </c>
      <c r="B27" s="2">
        <v>50</v>
      </c>
      <c r="C27" s="2">
        <v>50</v>
      </c>
      <c r="D27" s="2">
        <v>50</v>
      </c>
      <c r="E27" s="2">
        <v>50</v>
      </c>
      <c r="F27" s="2">
        <v>50</v>
      </c>
      <c r="G27" s="2">
        <v>50</v>
      </c>
      <c r="H27" s="2">
        <v>50</v>
      </c>
      <c r="I27" s="2">
        <v>50</v>
      </c>
      <c r="J27" s="2">
        <v>50</v>
      </c>
      <c r="K27" s="2">
        <v>50</v>
      </c>
      <c r="L27" s="2">
        <v>50</v>
      </c>
      <c r="M27" s="2">
        <v>50</v>
      </c>
      <c r="N27" s="2">
        <v>50</v>
      </c>
      <c r="O27" s="2">
        <v>50</v>
      </c>
      <c r="P27" s="2">
        <v>50</v>
      </c>
      <c r="Q27" s="2">
        <v>50</v>
      </c>
      <c r="R27" s="2">
        <v>50</v>
      </c>
      <c r="S27" s="2">
        <v>50</v>
      </c>
      <c r="T27" s="2">
        <v>50</v>
      </c>
      <c r="U27" s="2">
        <v>50</v>
      </c>
      <c r="V27" s="2">
        <v>50</v>
      </c>
      <c r="W27" s="2">
        <v>50</v>
      </c>
      <c r="X27" s="2">
        <v>50</v>
      </c>
      <c r="Y27" s="2">
        <v>50</v>
      </c>
      <c r="Z27" s="2">
        <v>50</v>
      </c>
      <c r="AA27" s="2">
        <v>50</v>
      </c>
      <c r="AB27" s="2">
        <v>50</v>
      </c>
      <c r="AC27" s="2">
        <v>50</v>
      </c>
      <c r="AD27" s="2">
        <v>50</v>
      </c>
      <c r="AE27" s="2">
        <v>50</v>
      </c>
      <c r="AF27" s="2">
        <v>50</v>
      </c>
    </row>
    <row r="28" spans="1:32" ht="12.75">
      <c r="A28" t="s">
        <v>17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</row>
    <row r="29" spans="1:32" ht="12.75">
      <c r="A29" t="s">
        <v>22</v>
      </c>
      <c r="B29" s="2">
        <f>-20*LOG(IMABS(IMDIV(COMPLEX(B27,B28,"j"),IMSUM(COMPLEX(B25,B26,"j"),COMPLEX(B27,B28,"j")))))</f>
        <v>8.792852378291752</v>
      </c>
      <c r="C29" s="2">
        <f>-20*LOG(IMABS(IMDIV(COMPLEX(C27,C28,"j"),IMSUM(COMPLEX(C25,C26,"j"),COMPLEX(C27,C28,"j")))))</f>
        <v>0.06250282840888953</v>
      </c>
      <c r="D29" s="2">
        <f>-20*LOG(IMABS(IMDIV(COMPLEX(D27,D28,"j"),IMSUM(COMPLEX(D25,D26,"j"),COMPLEX(D27,D28,"j")))))</f>
        <v>0.07854983656131602</v>
      </c>
      <c r="E29" s="2">
        <f>-20*LOG(IMABS(IMDIV(COMPLEX(E27,E28,"j"),IMSUM(COMPLEX(E25,E26,"j"),COMPLEX(E27,E28,"j")))))</f>
        <v>0.0992743278745409</v>
      </c>
      <c r="F29" s="2">
        <f>-20*LOG(IMABS(IMDIV(COMPLEX(F27,F28,"j"),IMSUM(COMPLEX(F25,F26,"j"),COMPLEX(F27,F28,"j")))))</f>
        <v>0.12605731734039732</v>
      </c>
      <c r="G29" s="2">
        <f>-20*LOG(IMABS(IMDIV(COMPLEX(G27,G28,"j"),IMSUM(COMPLEX(G25,G26,"j"),COMPLEX(G27,G28,"j")))))</f>
        <v>0.16066902194559063</v>
      </c>
      <c r="H29" s="2">
        <f>-20*LOG(IMABS(IMDIV(COMPLEX(H27,H28,"j"),IMSUM(COMPLEX(H25,H26,"j"),COMPLEX(H27,H28,"j")))))</f>
        <v>0.2053638292039207</v>
      </c>
      <c r="I29" s="2">
        <f>-20*LOG(IMABS(IMDIV(COMPLEX(I27,I28,"j"),IMSUM(COMPLEX(I25,I26,"j"),COMPLEX(I27,I28,"j")))))</f>
        <v>0.2629883952579894</v>
      </c>
      <c r="J29" s="2">
        <f>-20*LOG(IMABS(IMDIV(COMPLEX(J27,J28,"j"),IMSUM(COMPLEX(J25,J26,"j"),COMPLEX(J27,J28,"j")))))</f>
        <v>0.3370976220083744</v>
      </c>
      <c r="K29" s="2">
        <f>-20*LOG(IMABS(IMDIV(COMPLEX(K27,K28,"j"),IMSUM(COMPLEX(K25,K26,"j"),COMPLEX(K27,K28,"j")))))</f>
        <v>0.4320674430581404</v>
      </c>
      <c r="L29" s="2">
        <f>-20*LOG(IMABS(IMDIV(COMPLEX(L27,L28,"j"),IMSUM(COMPLEX(L25,L26,"j"),COMPLEX(L27,L28,"j")))))</f>
        <v>0.5531850356656982</v>
      </c>
      <c r="M29" s="2">
        <f>-20*LOG(IMABS(IMDIV(COMPLEX(M27,M28,"j"),IMSUM(COMPLEX(M25,M26,"j"),COMPLEX(M27,M28,"j")))))</f>
        <v>0.7066867144689025</v>
      </c>
      <c r="N29" s="2">
        <f>-20*LOG(IMABS(IMDIV(COMPLEX(N27,N28,"j"),IMSUM(COMPLEX(N25,N26,"j"),COMPLEX(N27,N28,"j")))))</f>
        <v>0.8997034350643779</v>
      </c>
      <c r="O29" s="2">
        <f>-20*LOG(IMABS(IMDIV(COMPLEX(O27,O28,"j"),IMSUM(COMPLEX(O25,O26,"j"),COMPLEX(O27,O28,"j")))))</f>
        <v>1.1400681917101103</v>
      </c>
      <c r="P29" s="2">
        <f>-20*LOG(IMABS(IMDIV(COMPLEX(P27,P28,"j"),IMSUM(COMPLEX(P25,P26,"j"),COMPLEX(P27,P28,"j")))))</f>
        <v>1.4359460215249529</v>
      </c>
      <c r="Q29" s="2">
        <f>-20*LOG(IMABS(IMDIV(COMPLEX(Q27,Q28,"j"),IMSUM(COMPLEX(Q25,Q26,"j"),COMPLEX(Q27,Q28,"j")))))</f>
        <v>1.795273894223198</v>
      </c>
      <c r="R29" s="2">
        <f>-20*LOG(IMABS(IMDIV(COMPLEX(R27,R28,"j"),IMSUM(COMPLEX(R25,R26,"j"),COMPLEX(R27,R28,"j")))))</f>
        <v>2.2250477029350795</v>
      </c>
      <c r="S29" s="2">
        <f>-20*LOG(IMABS(IMDIV(COMPLEX(S27,S28,"j"),IMSUM(COMPLEX(S25,S26,"j"),COMPLEX(S27,S28,"j")))))</f>
        <v>2.7305576491003674</v>
      </c>
      <c r="T29" s="2">
        <f>-20*LOG(IMABS(IMDIV(COMPLEX(T27,T28,"j"),IMSUM(COMPLEX(T25,T26,"j"),COMPLEX(T27,T28,"j")))))</f>
        <v>3.3147261858151005</v>
      </c>
      <c r="U29" s="2">
        <f>-20*LOG(IMABS(IMDIV(COMPLEX(U27,U28,"j"),IMSUM(COMPLEX(U25,U26,"j"),COMPLEX(U27,U28,"j")))))</f>
        <v>3.977711464061305</v>
      </c>
      <c r="V29" s="2">
        <f>-20*LOG(IMABS(IMDIV(COMPLEX(V27,V28,"j"),IMSUM(COMPLEX(V25,V26,"j"),COMPLEX(V27,V28,"j")))))</f>
        <v>4.71688503532768</v>
      </c>
      <c r="W29" s="2">
        <f>-20*LOG(IMABS(IMDIV(COMPLEX(W27,W28,"j"),IMSUM(COMPLEX(W25,W26,"j"),COMPLEX(W27,W28,"j")))))</f>
        <v>5.527190164538924</v>
      </c>
      <c r="X29" s="2">
        <f>-20*LOG(IMABS(IMDIV(COMPLEX(X27,X28,"j"),IMSUM(COMPLEX(X25,X26,"j"),COMPLEX(X27,X28,"j")))))</f>
        <v>6.401781764661273</v>
      </c>
      <c r="Y29" s="2">
        <f>-20*LOG(IMABS(IMDIV(COMPLEX(Y27,Y28,"j"),IMSUM(COMPLEX(Y25,Y26,"j"),COMPLEX(Y27,Y28,"j")))))</f>
        <v>7.332787901404983</v>
      </c>
      <c r="Z29" s="2">
        <f>-20*LOG(IMABS(IMDIV(COMPLEX(Z27,Z28,"j"),IMSUM(COMPLEX(Z25,Z26,"j"),COMPLEX(Z27,Z28,"j")))))</f>
        <v>8.312034945524587</v>
      </c>
      <c r="AA29" s="2">
        <f>-20*LOG(IMABS(IMDIV(COMPLEX(AA27,AA28,"j"),IMSUM(COMPLEX(AA25,AA26,"j"),COMPLEX(AA27,AA28,"j")))))</f>
        <v>9.331627961038446</v>
      </c>
      <c r="AB29" s="2">
        <f>-20*LOG(IMABS(IMDIV(COMPLEX(AB27,AB28,"j"),IMSUM(COMPLEX(AB25,AB26,"j"),COMPLEX(AB27,AB28,"j")))))</f>
        <v>10.384342272928013</v>
      </c>
      <c r="AC29" s="2">
        <f>-20*LOG(IMABS(IMDIV(COMPLEX(AC27,AC28,"j"),IMSUM(COMPLEX(AC25,AC26,"j"),COMPLEX(AC27,AC28,"j")))))</f>
        <v>11.463834447434348</v>
      </c>
      <c r="AD29" s="2">
        <f>-20*LOG(IMABS(IMDIV(COMPLEX(AD27,AD28,"j"),IMSUM(COMPLEX(AD25,AD26,"j"),COMPLEX(AD27,AD28,"j")))))</f>
        <v>12.564710120430751</v>
      </c>
      <c r="AE29" s="2">
        <f>-20*LOG(IMABS(IMDIV(COMPLEX(AE27,AE28,"j"),IMSUM(COMPLEX(AE25,AE26,"j"),COMPLEX(AE27,AE28,"j")))))</f>
        <v>13.682494431919782</v>
      </c>
      <c r="AF29" s="2">
        <f>-20*LOG(IMABS(IMDIV(COMPLEX(AF27,AF28,"j"),IMSUM(COMPLEX(AF25,AF26,"j"),COMPLEX(AF27,AF28,"j")))))</f>
        <v>14.813546131345943</v>
      </c>
    </row>
    <row r="30" spans="1:32" ht="12.75">
      <c r="A30" t="s">
        <v>25</v>
      </c>
      <c r="B30" s="2">
        <f aca="true" t="shared" si="8" ref="B30:AF30">B24+B29+B20+$B$9</f>
        <v>34.71490011082284</v>
      </c>
      <c r="C30" s="2">
        <f t="shared" si="8"/>
        <v>53.35745952919326</v>
      </c>
      <c r="D30" s="2">
        <f t="shared" si="8"/>
        <v>52.201485274225405</v>
      </c>
      <c r="E30" s="2">
        <f t="shared" si="8"/>
        <v>51.050481177579925</v>
      </c>
      <c r="F30" s="2">
        <f t="shared" si="8"/>
        <v>49.90584985536929</v>
      </c>
      <c r="G30" s="2">
        <f t="shared" si="8"/>
        <v>48.76938479833632</v>
      </c>
      <c r="H30" s="2">
        <f t="shared" si="8"/>
        <v>47.643365480684615</v>
      </c>
      <c r="I30" s="2">
        <f t="shared" si="8"/>
        <v>46.53066561166082</v>
      </c>
      <c r="J30" s="2">
        <f t="shared" si="8"/>
        <v>45.43486928075626</v>
      </c>
      <c r="K30" s="2">
        <f t="shared" si="8"/>
        <v>44.36038392789489</v>
      </c>
      <c r="L30" s="2">
        <f t="shared" si="8"/>
        <v>43.31253075757131</v>
      </c>
      <c r="M30" s="2">
        <f t="shared" si="8"/>
        <v>42.29758285468829</v>
      </c>
      <c r="N30" s="2">
        <f t="shared" si="8"/>
        <v>41.3227109324101</v>
      </c>
      <c r="O30" s="2">
        <f t="shared" si="8"/>
        <v>40.395790998809126</v>
      </c>
      <c r="P30" s="2">
        <f t="shared" si="8"/>
        <v>39.5250346575036</v>
      </c>
      <c r="Q30" s="2">
        <f t="shared" si="8"/>
        <v>38.71842932450549</v>
      </c>
      <c r="R30" s="2">
        <f t="shared" si="8"/>
        <v>37.98302558041529</v>
      </c>
      <c r="S30" s="2">
        <f t="shared" si="8"/>
        <v>37.32417295499587</v>
      </c>
      <c r="T30" s="2">
        <f t="shared" si="8"/>
        <v>36.7448583130729</v>
      </c>
      <c r="U30" s="2">
        <f t="shared" si="8"/>
        <v>36.245309791351744</v>
      </c>
      <c r="V30" s="2">
        <f t="shared" si="8"/>
        <v>35.822975045493514</v>
      </c>
      <c r="W30" s="2">
        <f t="shared" si="8"/>
        <v>35.472880167969194</v>
      </c>
      <c r="X30" s="2">
        <f t="shared" si="8"/>
        <v>35.18827029553317</v>
      </c>
      <c r="Y30" s="2">
        <f t="shared" si="8"/>
        <v>34.961371863203986</v>
      </c>
      <c r="Z30" s="2">
        <f t="shared" si="8"/>
        <v>34.78411859185042</v>
      </c>
      <c r="AA30" s="2">
        <f t="shared" si="8"/>
        <v>34.648732808589905</v>
      </c>
      <c r="AB30" s="2">
        <f t="shared" si="8"/>
        <v>34.5481180559123</v>
      </c>
      <c r="AC30" s="2">
        <f t="shared" si="8"/>
        <v>34.476071236671636</v>
      </c>
      <c r="AD30" s="2">
        <f t="shared" si="8"/>
        <v>34.427351746355626</v>
      </c>
      <c r="AE30" s="2">
        <f t="shared" si="8"/>
        <v>34.397653368787054</v>
      </c>
      <c r="AF30" s="2">
        <f t="shared" si="8"/>
        <v>34.38352002053259</v>
      </c>
    </row>
    <row r="31" ht="12.75">
      <c r="B31" s="2"/>
    </row>
    <row r="32" spans="1:32" ht="12.75">
      <c r="A32" t="s">
        <v>19</v>
      </c>
      <c r="B32" s="2">
        <f aca="true" t="shared" si="9" ref="B32:AF32">20*LOG((50*(300/B19)^2/4/PI()/120/PI())^0.5)</f>
        <v>12.751548335733386</v>
      </c>
      <c r="C32" s="2">
        <f t="shared" si="9"/>
        <v>40.36153664161601</v>
      </c>
      <c r="D32" s="2">
        <f t="shared" si="9"/>
        <v>39.18544538256033</v>
      </c>
      <c r="E32" s="2">
        <f t="shared" si="9"/>
        <v>38.00935412350465</v>
      </c>
      <c r="F32" s="2">
        <f t="shared" si="9"/>
        <v>36.83326286444897</v>
      </c>
      <c r="G32" s="2">
        <f t="shared" si="9"/>
        <v>35.65717160539329</v>
      </c>
      <c r="H32" s="2">
        <f t="shared" si="9"/>
        <v>34.481080346337606</v>
      </c>
      <c r="I32" s="2">
        <f t="shared" si="9"/>
        <v>33.304989087281925</v>
      </c>
      <c r="J32" s="2">
        <f t="shared" si="9"/>
        <v>32.12889782822624</v>
      </c>
      <c r="K32" s="2">
        <f t="shared" si="9"/>
        <v>30.952806569170562</v>
      </c>
      <c r="L32" s="2">
        <f t="shared" si="9"/>
        <v>29.77671531011488</v>
      </c>
      <c r="M32" s="2">
        <f t="shared" si="9"/>
        <v>28.6006240510592</v>
      </c>
      <c r="N32" s="2">
        <f t="shared" si="9"/>
        <v>27.424532792003518</v>
      </c>
      <c r="O32" s="2">
        <f t="shared" si="9"/>
        <v>26.24844153294784</v>
      </c>
      <c r="P32" s="2">
        <f t="shared" si="9"/>
        <v>25.07235027389216</v>
      </c>
      <c r="Q32" s="2">
        <f t="shared" si="9"/>
        <v>23.896259014836478</v>
      </c>
      <c r="R32" s="2">
        <f t="shared" si="9"/>
        <v>22.7201677557808</v>
      </c>
      <c r="S32" s="2">
        <f t="shared" si="9"/>
        <v>21.54407649672511</v>
      </c>
      <c r="T32" s="2">
        <f t="shared" si="9"/>
        <v>20.367985237669433</v>
      </c>
      <c r="U32" s="2">
        <f t="shared" si="9"/>
        <v>19.191893978613756</v>
      </c>
      <c r="V32" s="2">
        <f t="shared" si="9"/>
        <v>18.015802719558074</v>
      </c>
      <c r="W32" s="2">
        <f t="shared" si="9"/>
        <v>16.839711460502393</v>
      </c>
      <c r="X32" s="2">
        <f t="shared" si="9"/>
        <v>15.663620201446712</v>
      </c>
      <c r="Y32" s="2">
        <f t="shared" si="9"/>
        <v>14.48752894239103</v>
      </c>
      <c r="Z32" s="2">
        <f t="shared" si="9"/>
        <v>13.311437683335347</v>
      </c>
      <c r="AA32" s="2">
        <f t="shared" si="9"/>
        <v>12.135346424279668</v>
      </c>
      <c r="AB32" s="2">
        <f t="shared" si="9"/>
        <v>10.95925516522399</v>
      </c>
      <c r="AC32" s="2">
        <f t="shared" si="9"/>
        <v>9.783163906168305</v>
      </c>
      <c r="AD32" s="2">
        <f t="shared" si="9"/>
        <v>8.607072647112625</v>
      </c>
      <c r="AE32" s="2">
        <f t="shared" si="9"/>
        <v>7.430981388056946</v>
      </c>
      <c r="AF32" s="2">
        <f t="shared" si="9"/>
        <v>6.254890129001263</v>
      </c>
    </row>
    <row r="33" spans="1:32" ht="12.75">
      <c r="A33" t="s">
        <v>18</v>
      </c>
      <c r="B33" s="2">
        <f aca="true" t="shared" si="10" ref="B33:AF33">$B$9+B20-B24-B32-B29</f>
        <v>-46.47757445650146</v>
      </c>
      <c r="C33" s="2">
        <f t="shared" si="10"/>
        <v>-93.2042808560132</v>
      </c>
      <c r="D33" s="2">
        <f t="shared" si="10"/>
        <v>-90.86407535011885</v>
      </c>
      <c r="E33" s="2">
        <f t="shared" si="10"/>
        <v>-88.52825465222374</v>
      </c>
      <c r="F33" s="2">
        <f t="shared" si="10"/>
        <v>-86.19817817619902</v>
      </c>
      <c r="G33" s="2">
        <f t="shared" si="10"/>
        <v>-83.87559286527535</v>
      </c>
      <c r="H33" s="2">
        <f t="shared" si="10"/>
        <v>-81.56272802027667</v>
      </c>
      <c r="I33" s="2">
        <f t="shared" si="10"/>
        <v>-79.26240324424155</v>
      </c>
      <c r="J33" s="2">
        <f t="shared" si="10"/>
        <v>-76.97814425147985</v>
      </c>
      <c r="K33" s="2">
        <f t="shared" si="10"/>
        <v>-74.71429546927371</v>
      </c>
      <c r="L33" s="2">
        <f t="shared" si="10"/>
        <v>-72.47611004764535</v>
      </c>
      <c r="M33" s="2">
        <f t="shared" si="10"/>
        <v>-70.26978753096776</v>
      </c>
      <c r="N33" s="2">
        <f t="shared" si="10"/>
        <v>-68.10241911726986</v>
      </c>
      <c r="O33" s="2">
        <f t="shared" si="10"/>
        <v>-65.98179478699525</v>
      </c>
      <c r="P33" s="2">
        <f t="shared" si="10"/>
        <v>-63.91603301076343</v>
      </c>
      <c r="Q33" s="2">
        <f t="shared" si="10"/>
        <v>-61.91302031199096</v>
      </c>
      <c r="R33" s="2">
        <f t="shared" si="10"/>
        <v>-59.97969789633789</v>
      </c>
      <c r="S33" s="2">
        <f t="shared" si="10"/>
        <v>-58.121296636920846</v>
      </c>
      <c r="T33" s="2">
        <f t="shared" si="10"/>
        <v>-56.34067457510625</v>
      </c>
      <c r="U33" s="2">
        <f t="shared" si="10"/>
        <v>-54.63791987615277</v>
      </c>
      <c r="V33" s="2">
        <f t="shared" si="10"/>
        <v>-53.010327987376684</v>
      </c>
      <c r="W33" s="2">
        <f t="shared" si="10"/>
        <v>-51.452759346156455</v>
      </c>
      <c r="X33" s="2">
        <f t="shared" si="10"/>
        <v>-49.95827864167014</v>
      </c>
      <c r="Y33" s="2">
        <f t="shared" si="10"/>
        <v>-48.51891557031969</v>
      </c>
      <c r="Z33" s="2">
        <f t="shared" si="10"/>
        <v>-47.12638915274543</v>
      </c>
      <c r="AA33" s="2">
        <f t="shared" si="10"/>
        <v>-45.77268718986663</v>
      </c>
      <c r="AB33" s="2">
        <f t="shared" si="10"/>
        <v>-44.45045678915632</v>
      </c>
      <c r="AC33" s="2">
        <f t="shared" si="10"/>
        <v>-43.153214180242614</v>
      </c>
      <c r="AD33" s="2">
        <f t="shared" si="10"/>
        <v>-41.87541123938438</v>
      </c>
      <c r="AE33" s="2">
        <f t="shared" si="10"/>
        <v>-40.61240446276397</v>
      </c>
      <c r="AF33" s="2">
        <f t="shared" si="10"/>
        <v>-39.36036743270371</v>
      </c>
    </row>
    <row r="34" ht="12.75">
      <c r="B34" s="2"/>
    </row>
    <row r="37" ht="12.75">
      <c r="A37" t="s">
        <v>27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OD</cp:lastModifiedBy>
  <dcterms:created xsi:type="dcterms:W3CDTF">2004-11-22T21:40:26Z</dcterms:created>
  <dcterms:modified xsi:type="dcterms:W3CDTF">2005-06-22T11:31:06Z</dcterms:modified>
  <cp:category/>
  <cp:version/>
  <cp:contentType/>
  <cp:contentStatus/>
</cp:coreProperties>
</file>